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14340" activeTab="0"/>
  </bookViews>
  <sheets>
    <sheet name="DATA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<sst xmlns="http://schemas.openxmlformats.org/spreadsheetml/2006/main" count="103" uniqueCount="91">
  <si>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Sensor Based N Rate Calculator</t>
  </si>
  <si>
    <t>Data Entry</t>
  </si>
  <si>
    <t>Results</t>
  </si>
  <si>
    <t>Response Index</t>
  </si>
  <si>
    <t>month/day/year</t>
  </si>
  <si>
    <t>NDVI (NRS)</t>
  </si>
  <si>
    <t>NDVI (FP)</t>
  </si>
  <si>
    <t>NUE expected</t>
  </si>
  <si>
    <t>NRS (Nitrogen Rich Strip)</t>
  </si>
  <si>
    <t>FP (Farmer Practice)</t>
  </si>
  <si>
    <t>NDVI (normalized difference vegetative index)</t>
  </si>
  <si>
    <t>Procedure:</t>
  </si>
  <si>
    <t>1. Farmer is asked to Establish the Maximum Yield Achievable, For that Year (YPMAX)</t>
  </si>
  <si>
    <t>2. Sense the N Rich Strip (NRS)</t>
  </si>
  <si>
    <t>3. Sense a strip parallel to the NRS (Farmer Practice or FP)</t>
  </si>
  <si>
    <t>6. Predict yield</t>
  </si>
  <si>
    <t>7. Predict grain N uptake in FP</t>
  </si>
  <si>
    <t xml:space="preserve">8. Predict grain N uptake in FP based on RI </t>
  </si>
  <si>
    <t>Maximum yield, bu/ac</t>
  </si>
  <si>
    <t>Planting Date</t>
  </si>
  <si>
    <t>Potential yield (no added N)</t>
  </si>
  <si>
    <t>Sensing Date</t>
  </si>
  <si>
    <t>Potential yield (with added N)</t>
  </si>
  <si>
    <t>NDVI, N Rich Strip</t>
  </si>
  <si>
    <t>N fertilizer Requirement</t>
  </si>
  <si>
    <t>NDVI, Farmer Practice</t>
  </si>
  <si>
    <t>Components of the Algorithm</t>
  </si>
  <si>
    <t>INSEY = NDVI/DFP</t>
  </si>
  <si>
    <t>GNUP = YP0 * %N</t>
  </si>
  <si>
    <t>YPN = YP0 in the N-Rich Strip</t>
  </si>
  <si>
    <t>YPMAX determined by agronomists, where YPN cannot exceed YPMAX</t>
  </si>
  <si>
    <t>FNR=(GNUP_NRICH-GNUP_Farmer)/0.70</t>
  </si>
  <si>
    <t>days from planting to sensing where GDD&gt;0</t>
  </si>
  <si>
    <t>INSEY</t>
  </si>
  <si>
    <t>Yield potential with no added N</t>
  </si>
  <si>
    <t>Predicted grain N uptake</t>
  </si>
  <si>
    <t>Predicted yield in the N Rich Strip</t>
  </si>
  <si>
    <t>Predicted yield not to exceed YPMAX</t>
  </si>
  <si>
    <t>N Fertilizer Requirement</t>
  </si>
  <si>
    <t>days</t>
  </si>
  <si>
    <t>bu/ac</t>
  </si>
  <si>
    <t>lb/ac, no cap</t>
  </si>
  <si>
    <t>CAP</t>
  </si>
  <si>
    <t>lb/ac</t>
  </si>
  <si>
    <t>GS NDVI</t>
  </si>
  <si>
    <t>DFP</t>
  </si>
  <si>
    <t>YP0</t>
  </si>
  <si>
    <t>YP0 (cap) bu/ac</t>
  </si>
  <si>
    <t>GNUP, lb/ac</t>
  </si>
  <si>
    <t>YPN, bu/ac</t>
  </si>
  <si>
    <t>YPN(cap)</t>
  </si>
  <si>
    <t>GNUP YPN</t>
  </si>
  <si>
    <t>FNR</t>
  </si>
  <si>
    <t>lb Urea/ac</t>
  </si>
  <si>
    <t>NRS</t>
  </si>
  <si>
    <t>FP</t>
  </si>
  <si>
    <t>INSEY DFP</t>
  </si>
  <si>
    <t>INSEY DFE</t>
  </si>
  <si>
    <t>5. Compute INSEY (NDVI/days from planting to sensing)</t>
  </si>
  <si>
    <t>7. Predict grain N uptake in N Rich Strip</t>
  </si>
  <si>
    <t>8. Predict grain N uptake farmer check</t>
  </si>
  <si>
    <t>RI is not used for Spring Wheat (Mexico or Ecuador)</t>
  </si>
  <si>
    <t>GreenSeeker = Hand-Held</t>
  </si>
  <si>
    <t>y = 0.9859x - 0.0172</t>
  </si>
  <si>
    <t>R2 = 0.9204</t>
  </si>
  <si>
    <t>y = 528.14e179.7x</t>
  </si>
  <si>
    <t>4. Determine days from planting to sensing</t>
  </si>
  <si>
    <t xml:space="preserve">   pop in #/ac</t>
  </si>
  <si>
    <t>see  http://www.nue.okstate.edu/RI_CV_Discussion.htm</t>
  </si>
  <si>
    <t>Usually 2X the Average</t>
  </si>
  <si>
    <t>Sensor Based N Rate Calculator, Rainfed Corn</t>
  </si>
  <si>
    <t>9. N rate = (grain N uptake in FP based on RI - grain N uptake in FP)/expected NUE</t>
  </si>
  <si>
    <t>YP0 =  1.202*EXP(INSEY*169.6)</t>
  </si>
  <si>
    <t>9. N rate = (grain N uptake in N rich strip-grain N uptake farmer check)/0.7</t>
  </si>
  <si>
    <t xml:space="preserve">cost of N fertilizer at recommended rate is </t>
  </si>
  <si>
    <t>removed from this estimate</t>
  </si>
  <si>
    <t>kg/ha</t>
  </si>
  <si>
    <t>Cummulative GDD</t>
  </si>
  <si>
    <r>
      <t>YP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=2592*(EXP(NDVI/cummGDD*1775.6)</t>
    </r>
  </si>
  <si>
    <t>y = 2592e1775.6*(NDVI/cummGDD)</t>
  </si>
  <si>
    <t>4. Determine cummulative GDD</t>
  </si>
  <si>
    <t>GDD corn</t>
  </si>
  <si>
    <t>((Tmin +Tmax)/2) - 50F</t>
  </si>
  <si>
    <t>Expected Grain Price, $/kg</t>
  </si>
  <si>
    <t>Fertilizer cost, $/kg</t>
  </si>
  <si>
    <t>Gross Return (no N), $/ha</t>
  </si>
  <si>
    <t>Gross Return (with N), $/ha</t>
  </si>
  <si>
    <t>Max yield, kg/ha</t>
  </si>
  <si>
    <t>Potential yield (0-N), kg/ha</t>
  </si>
  <si>
    <t>Potential yield (+ N), kg/ha</t>
  </si>
  <si>
    <t>Fertilizer N, kg N/ha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</si>
</sst>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8"/>
      <color indexed="48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Tahoma"/>
      <family val="0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35" borderId="12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37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2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 wrapText="1"/>
    </xf>
    <xf numFmtId="0" fontId="5" fillId="38" borderId="11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4" fillId="38" borderId="13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1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0" fontId="4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5" fillId="0" borderId="0" xfId="0" applyFont="1" applyAlignment="1" quotePrefix="1">
      <alignment horizontal="left" wrapText="1"/>
    </xf>
    <xf numFmtId="1" fontId="5" fillId="33" borderId="10" xfId="0" applyNumberFormat="1" applyFont="1" applyFill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12" fillId="37" borderId="14" xfId="0" applyFont="1" applyFill="1" applyBorder="1" applyAlignment="1">
      <alignment horizontal="left"/>
    </xf>
    <xf numFmtId="0" fontId="12" fillId="37" borderId="15" xfId="0" applyFont="1" applyFill="1" applyBorder="1" applyAlignment="1">
      <alignment horizontal="left"/>
    </xf>
    <xf numFmtId="0" fontId="12" fillId="37" borderId="0" xfId="0" applyFont="1" applyFill="1" applyAlignment="1">
      <alignment/>
    </xf>
    <xf numFmtId="0" fontId="12" fillId="37" borderId="12" xfId="0" applyFont="1" applyFill="1" applyBorder="1" applyAlignment="1">
      <alignment/>
    </xf>
    <xf numFmtId="0" fontId="13" fillId="35" borderId="0" xfId="0" applyFont="1" applyFill="1" applyAlignment="1">
      <alignment horizontal="left"/>
    </xf>
    <xf numFmtId="0" fontId="12" fillId="35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34" borderId="0" xfId="0" applyFont="1" applyFill="1" applyAlignment="1">
      <alignment horizontal="left"/>
    </xf>
    <xf numFmtId="0" fontId="12" fillId="39" borderId="10" xfId="0" applyFont="1" applyFill="1" applyBorder="1" applyAlignment="1">
      <alignment horizontal="left"/>
    </xf>
    <xf numFmtId="0" fontId="12" fillId="39" borderId="14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3" fillId="36" borderId="0" xfId="0" applyFont="1" applyFill="1" applyAlignment="1">
      <alignment horizontal="left"/>
    </xf>
    <xf numFmtId="2" fontId="12" fillId="40" borderId="10" xfId="0" applyNumberFormat="1" applyFont="1" applyFill="1" applyBorder="1" applyAlignment="1">
      <alignment horizontal="left"/>
    </xf>
    <xf numFmtId="0" fontId="12" fillId="34" borderId="0" xfId="0" applyFont="1" applyFill="1" applyAlignment="1" quotePrefix="1">
      <alignment horizontal="left"/>
    </xf>
    <xf numFmtId="1" fontId="12" fillId="40" borderId="10" xfId="0" applyNumberFormat="1" applyFont="1" applyFill="1" applyBorder="1" applyAlignment="1">
      <alignment horizontal="left"/>
    </xf>
    <xf numFmtId="0" fontId="13" fillId="34" borderId="0" xfId="0" applyFont="1" applyFill="1" applyAlignment="1" quotePrefix="1">
      <alignment horizontal="left"/>
    </xf>
    <xf numFmtId="1" fontId="13" fillId="37" borderId="1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37" borderId="14" xfId="0" applyFont="1" applyFill="1" applyBorder="1" applyAlignment="1">
      <alignment/>
    </xf>
    <xf numFmtId="0" fontId="13" fillId="34" borderId="0" xfId="0" applyFont="1" applyFill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1" fontId="12" fillId="39" borderId="14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50" zoomScaleNormal="150" zoomScalePageLayoutView="0" workbookViewId="0" topLeftCell="A1">
      <selection activeCell="C14" sqref="C14"/>
    </sheetView>
  </sheetViews>
  <sheetFormatPr defaultColWidth="8.421875" defaultRowHeight="12.75"/>
  <cols>
    <col min="1" max="1" width="20.7109375" style="60" customWidth="1"/>
    <col min="2" max="2" width="11.57421875" style="56" customWidth="1"/>
    <col min="3" max="3" width="31.00390625" style="56" customWidth="1"/>
    <col min="4" max="4" width="8.7109375" style="56" customWidth="1"/>
    <col min="5" max="5" width="8.421875" style="60" bestFit="1" customWidth="1"/>
    <col min="6" max="16384" width="8.421875" style="60" customWidth="1"/>
  </cols>
  <sheetData>
    <row r="1" spans="1:17" s="53" customFormat="1" ht="11.25">
      <c r="A1" s="75" t="s">
        <v>70</v>
      </c>
      <c r="B1" s="50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" s="56" customFormat="1" ht="11.25">
      <c r="A2" s="54" t="s">
        <v>1</v>
      </c>
      <c r="B2" s="55"/>
    </row>
    <row r="3" spans="1:3" s="56" customFormat="1" ht="11.25">
      <c r="A3" s="57" t="s">
        <v>87</v>
      </c>
      <c r="B3" s="58">
        <v>10000</v>
      </c>
      <c r="C3" s="72" t="s">
        <v>69</v>
      </c>
    </row>
    <row r="4" spans="1:2" s="56" customFormat="1" ht="11.25">
      <c r="A4" s="57" t="s">
        <v>77</v>
      </c>
      <c r="B4" s="79">
        <v>800</v>
      </c>
    </row>
    <row r="5" spans="1:5" ht="11.25">
      <c r="A5" s="57" t="s">
        <v>5</v>
      </c>
      <c r="B5" s="59">
        <v>0.7</v>
      </c>
      <c r="E5" s="56"/>
    </row>
    <row r="6" spans="1:5" ht="11.25">
      <c r="A6" s="57" t="s">
        <v>6</v>
      </c>
      <c r="B6" s="58">
        <v>0.55</v>
      </c>
      <c r="E6" s="56"/>
    </row>
    <row r="7" spans="1:5" ht="11.25">
      <c r="A7" s="57" t="s">
        <v>7</v>
      </c>
      <c r="B7" s="58">
        <v>0.6</v>
      </c>
      <c r="E7" s="56"/>
    </row>
    <row r="8" spans="1:5" ht="11.25">
      <c r="A8" s="60" t="s">
        <v>83</v>
      </c>
      <c r="B8" s="58">
        <v>0.2</v>
      </c>
      <c r="E8" s="56"/>
    </row>
    <row r="9" spans="1:5" ht="11.25">
      <c r="A9" s="60" t="s">
        <v>84</v>
      </c>
      <c r="B9" s="58">
        <v>0.9</v>
      </c>
      <c r="E9" s="56"/>
    </row>
    <row r="10" spans="1:5" ht="11.25">
      <c r="A10" s="61" t="s">
        <v>2</v>
      </c>
      <c r="B10" s="61"/>
      <c r="E10" s="56"/>
    </row>
    <row r="11" spans="1:5" ht="11.25">
      <c r="A11" s="56" t="s">
        <v>3</v>
      </c>
      <c r="B11" s="62">
        <f>((B5/B6)*1.64)-0.5287</f>
        <v>1.558572727272727</v>
      </c>
      <c r="E11" s="56"/>
    </row>
    <row r="12" spans="1:5" ht="11.25">
      <c r="A12" s="63" t="s">
        <v>88</v>
      </c>
      <c r="B12" s="64">
        <f>(Formulas!F19)*56*1.12</f>
        <v>8785.958116679396</v>
      </c>
      <c r="E12" s="56"/>
    </row>
    <row r="13" spans="1:5" ht="11.25">
      <c r="A13" s="63" t="s">
        <v>89</v>
      </c>
      <c r="B13" s="64">
        <f>(Formulas!H19)*56*1.12</f>
        <v>13693.55470361696</v>
      </c>
      <c r="E13" s="56"/>
    </row>
    <row r="14" spans="1:4" ht="11.25">
      <c r="A14" s="65" t="s">
        <v>90</v>
      </c>
      <c r="B14" s="66">
        <f>((B13-B12)*0.0125)/0.6</f>
        <v>102.24159556119925</v>
      </c>
      <c r="C14" s="60"/>
      <c r="D14" s="78" t="s">
        <v>76</v>
      </c>
    </row>
    <row r="15" spans="1:4" ht="11.25">
      <c r="A15" s="76" t="s">
        <v>85</v>
      </c>
      <c r="B15" s="66">
        <f>(B12*B8)</f>
        <v>1757.1916233358793</v>
      </c>
      <c r="C15" s="60"/>
      <c r="D15" s="78">
        <f>B12*B8*2.47</f>
        <v>4340.263309639622</v>
      </c>
    </row>
    <row r="16" spans="1:4" ht="11.25">
      <c r="A16" s="76" t="s">
        <v>86</v>
      </c>
      <c r="B16" s="66">
        <f>(B13*B8)-(B14*B9)</f>
        <v>2646.693504718313</v>
      </c>
      <c r="C16" s="77" t="s">
        <v>74</v>
      </c>
      <c r="D16" s="78">
        <f>((B13*B8)*2.47)-((B14*1.12)*B9*2.207)</f>
        <v>6537.163644571984</v>
      </c>
    </row>
    <row r="17" spans="2:3" ht="11.25">
      <c r="B17" s="60"/>
      <c r="C17" s="77" t="s">
        <v>75</v>
      </c>
    </row>
    <row r="18" spans="1:4" ht="11.25">
      <c r="A18" s="73" t="s">
        <v>8</v>
      </c>
      <c r="B18" s="60"/>
      <c r="C18" s="60"/>
      <c r="D18" s="60"/>
    </row>
    <row r="19" spans="1:4" ht="11.25">
      <c r="A19" s="73" t="s">
        <v>9</v>
      </c>
      <c r="B19" s="60"/>
      <c r="C19" s="60"/>
      <c r="D19" s="60"/>
    </row>
    <row r="20" spans="1:4" ht="11.25">
      <c r="A20" s="73" t="s">
        <v>10</v>
      </c>
      <c r="B20" s="60"/>
      <c r="C20" s="60"/>
      <c r="D20" s="60"/>
    </row>
    <row r="21" spans="1:6" s="67" customFormat="1" ht="11.25">
      <c r="A21" s="73"/>
      <c r="B21" s="60"/>
      <c r="C21" s="60"/>
      <c r="D21" s="60"/>
      <c r="E21" s="60"/>
      <c r="F21" s="60"/>
    </row>
    <row r="22" spans="1:6" s="68" customFormat="1" ht="11.25">
      <c r="A22" s="74" t="s">
        <v>11</v>
      </c>
      <c r="B22" s="60"/>
      <c r="C22" s="60"/>
      <c r="D22" s="60"/>
      <c r="E22" s="60"/>
      <c r="F22" s="60"/>
    </row>
    <row r="23" spans="1:4" ht="11.25">
      <c r="A23" s="73" t="s">
        <v>12</v>
      </c>
      <c r="B23" s="60"/>
      <c r="C23" s="60"/>
      <c r="D23" s="60"/>
    </row>
    <row r="24" spans="1:4" ht="11.25">
      <c r="A24" s="73" t="s">
        <v>13</v>
      </c>
      <c r="B24" s="60"/>
      <c r="C24" s="60"/>
      <c r="D24" s="60"/>
    </row>
    <row r="25" spans="1:4" ht="11.25">
      <c r="A25" s="73" t="s">
        <v>14</v>
      </c>
      <c r="B25" s="60"/>
      <c r="C25" s="60"/>
      <c r="D25" s="60"/>
    </row>
    <row r="26" spans="1:4" ht="11.25">
      <c r="A26" s="73" t="s">
        <v>66</v>
      </c>
      <c r="B26" s="60"/>
      <c r="C26" s="60"/>
      <c r="D26" s="60"/>
    </row>
    <row r="27" spans="1:6" s="69" customFormat="1" ht="11.25">
      <c r="A27" s="73" t="s">
        <v>58</v>
      </c>
      <c r="B27" s="60"/>
      <c r="C27" s="60"/>
      <c r="D27" s="60"/>
      <c r="E27" s="60"/>
      <c r="F27" s="60"/>
    </row>
    <row r="28" spans="1:4" ht="11.25">
      <c r="A28" s="73" t="s">
        <v>15</v>
      </c>
      <c r="B28" s="60"/>
      <c r="C28" s="60"/>
      <c r="D28" s="60"/>
    </row>
    <row r="29" spans="1:4" ht="11.25">
      <c r="A29" s="73" t="s">
        <v>16</v>
      </c>
      <c r="B29" s="60"/>
      <c r="C29" s="60"/>
      <c r="D29" s="60"/>
    </row>
    <row r="30" spans="1:4" ht="11.25">
      <c r="A30" s="73" t="s">
        <v>17</v>
      </c>
      <c r="B30" s="60"/>
      <c r="C30" s="60"/>
      <c r="D30" s="60"/>
    </row>
    <row r="31" spans="1:4" ht="11.25">
      <c r="A31" s="73" t="s">
        <v>71</v>
      </c>
      <c r="B31" s="60"/>
      <c r="C31" s="60"/>
      <c r="D31" s="60"/>
    </row>
    <row r="32" spans="2:4" ht="10.5">
      <c r="B32" s="60"/>
      <c r="C32" s="60"/>
      <c r="D32" s="60"/>
    </row>
    <row r="33" spans="2:4" ht="10.5">
      <c r="B33" s="60"/>
      <c r="C33" s="60"/>
      <c r="D33" s="60"/>
    </row>
    <row r="34" spans="2:4" ht="10.5">
      <c r="B34" s="60"/>
      <c r="C34" s="60"/>
      <c r="D34" s="60"/>
    </row>
    <row r="35" spans="2:4" ht="10.5">
      <c r="B35" s="60"/>
      <c r="C35" s="60"/>
      <c r="D35" s="60"/>
    </row>
    <row r="36" spans="2:4" ht="10.5">
      <c r="B36" s="60"/>
      <c r="C36" s="60"/>
      <c r="D36" s="60"/>
    </row>
    <row r="37" spans="2:4" ht="10.5">
      <c r="B37" s="60"/>
      <c r="C37" s="60"/>
      <c r="D37" s="60"/>
    </row>
    <row r="38" spans="2:4" ht="10.5">
      <c r="B38" s="60"/>
      <c r="C38" s="60"/>
      <c r="D38" s="60"/>
    </row>
    <row r="39" spans="2:4" ht="10.5">
      <c r="B39" s="60"/>
      <c r="C39" s="60"/>
      <c r="D39" s="60"/>
    </row>
    <row r="40" spans="2:4" ht="10.5">
      <c r="B40" s="60"/>
      <c r="C40" s="60"/>
      <c r="D40" s="60"/>
    </row>
    <row r="41" spans="2:4" ht="10.5">
      <c r="B41" s="60"/>
      <c r="C41" s="60"/>
      <c r="D41" s="60"/>
    </row>
    <row r="42" spans="2:4" ht="10.5">
      <c r="B42" s="60"/>
      <c r="C42" s="60"/>
      <c r="D42" s="60"/>
    </row>
    <row r="43" spans="2:4" ht="10.5">
      <c r="B43" s="60"/>
      <c r="C43" s="60"/>
      <c r="D43" s="60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zoomScalePageLayoutView="0" workbookViewId="0" topLeftCell="A1">
      <selection activeCell="L19" sqref="L19"/>
    </sheetView>
  </sheetViews>
  <sheetFormatPr defaultColWidth="8.421875" defaultRowHeight="12.75"/>
  <cols>
    <col min="1" max="1" width="6.140625" style="0" customWidth="1"/>
    <col min="2" max="2" width="14.421875" style="0" customWidth="1"/>
    <col min="3" max="3" width="9.8515625" style="1" customWidth="1"/>
    <col min="4" max="4" width="11.421875" style="1" bestFit="1" customWidth="1"/>
    <col min="5" max="5" width="15.00390625" style="1" customWidth="1"/>
    <col min="6" max="6" width="5.00390625" style="1" customWidth="1"/>
    <col min="7" max="7" width="13.00390625" style="2" customWidth="1"/>
    <col min="8" max="8" width="14.421875" style="1" customWidth="1"/>
    <col min="9" max="9" width="13.7109375" style="1" customWidth="1"/>
    <col min="10" max="10" width="7.421875" style="1" customWidth="1"/>
    <col min="11" max="11" width="13.7109375" style="1" customWidth="1"/>
    <col min="12" max="12" width="15.421875" style="1" customWidth="1"/>
    <col min="13" max="13" width="13.57421875" style="1" customWidth="1"/>
    <col min="14" max="14" width="9.140625" style="1" bestFit="1" customWidth="1"/>
    <col min="15" max="15" width="8.421875" style="0" bestFit="1" customWidth="1"/>
  </cols>
  <sheetData>
    <row r="1" spans="1:14" s="27" customFormat="1" ht="15.75">
      <c r="A1" s="26" t="s">
        <v>0</v>
      </c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</row>
    <row r="2" s="1" customFormat="1" ht="12.75"/>
    <row r="3" spans="2:11" s="1" customFormat="1" ht="12.75">
      <c r="B3" s="30" t="s">
        <v>1</v>
      </c>
      <c r="C3" s="31"/>
      <c r="D3" s="31"/>
      <c r="E3" s="32"/>
      <c r="H3" s="34" t="s">
        <v>2</v>
      </c>
      <c r="I3" s="20"/>
      <c r="J3" s="20"/>
      <c r="K3" s="35"/>
    </row>
    <row r="4" spans="2:11" s="1" customFormat="1" ht="12.75">
      <c r="B4" s="1" t="s">
        <v>18</v>
      </c>
      <c r="E4" s="33">
        <f>DATA!B3</f>
        <v>10000</v>
      </c>
      <c r="H4" s="1" t="s">
        <v>3</v>
      </c>
      <c r="K4" s="36">
        <f>DATA!B11</f>
        <v>1.558572727272727</v>
      </c>
    </row>
    <row r="5" spans="2:11" s="1" customFormat="1" ht="12.75">
      <c r="B5" s="1" t="s">
        <v>19</v>
      </c>
      <c r="E5" s="40">
        <v>38292</v>
      </c>
      <c r="F5" s="38"/>
      <c r="H5" s="1" t="s">
        <v>20</v>
      </c>
      <c r="K5" s="36">
        <f>F19</f>
        <v>140.08224038073016</v>
      </c>
    </row>
    <row r="6" spans="2:11" s="1" customFormat="1" ht="12.75">
      <c r="B6" s="1" t="s">
        <v>21</v>
      </c>
      <c r="E6" s="40">
        <v>38357</v>
      </c>
      <c r="F6" s="38"/>
      <c r="H6" s="1" t="s">
        <v>22</v>
      </c>
      <c r="K6" s="39">
        <f>I19</f>
        <v>218.32835943266832</v>
      </c>
    </row>
    <row r="7" spans="5:11" s="1" customFormat="1" ht="12.75">
      <c r="E7" s="37" t="s">
        <v>4</v>
      </c>
      <c r="F7" s="37"/>
      <c r="K7" s="39"/>
    </row>
    <row r="8" spans="2:11" ht="12.75">
      <c r="B8" s="1" t="s">
        <v>23</v>
      </c>
      <c r="E8" s="36">
        <f>DATA!B5</f>
        <v>0.7</v>
      </c>
      <c r="H8" s="1" t="s">
        <v>24</v>
      </c>
      <c r="K8" s="39">
        <f>IF(L19&lt;0,0,L19)</f>
        <v>202.86030865317298</v>
      </c>
    </row>
    <row r="9" spans="2:5" ht="12.75">
      <c r="B9" s="1" t="s">
        <v>25</v>
      </c>
      <c r="E9" s="33">
        <f>DATA!B6</f>
        <v>0.55</v>
      </c>
    </row>
    <row r="10" spans="2:12" ht="15.75">
      <c r="B10" s="1"/>
      <c r="E10" s="71"/>
      <c r="H10" s="70" t="s">
        <v>78</v>
      </c>
      <c r="K10" s="1" t="s">
        <v>67</v>
      </c>
      <c r="L10" s="1" t="s">
        <v>68</v>
      </c>
    </row>
    <row r="11" spans="2:5" ht="12.75">
      <c r="B11" s="1"/>
      <c r="E11" s="71"/>
    </row>
    <row r="13" spans="1:14" s="18" customFormat="1" ht="12.75">
      <c r="A13" s="17" t="s">
        <v>26</v>
      </c>
      <c r="D13" s="19"/>
      <c r="E13" s="19"/>
      <c r="F13" s="19"/>
      <c r="G13" s="23"/>
      <c r="H13" s="19"/>
      <c r="I13" s="19"/>
      <c r="J13" s="19"/>
      <c r="K13" s="19"/>
      <c r="L13" s="19"/>
      <c r="M13" s="19"/>
      <c r="N13" s="19"/>
    </row>
    <row r="14" spans="3:15" ht="68.25" customHeight="1">
      <c r="C14" s="2"/>
      <c r="D14" s="2" t="s">
        <v>27</v>
      </c>
      <c r="E14" s="48" t="s">
        <v>72</v>
      </c>
      <c r="F14" s="2"/>
      <c r="G14" s="2" t="s">
        <v>28</v>
      </c>
      <c r="H14" s="2" t="s">
        <v>29</v>
      </c>
      <c r="I14" s="2" t="s">
        <v>30</v>
      </c>
      <c r="J14" s="2"/>
      <c r="K14" s="2" t="s">
        <v>31</v>
      </c>
      <c r="L14" s="2"/>
      <c r="O14" s="3"/>
    </row>
    <row r="15" spans="3:15" ht="67.5" customHeight="1">
      <c r="C15" s="45" t="s">
        <v>32</v>
      </c>
      <c r="D15" s="4" t="s">
        <v>33</v>
      </c>
      <c r="E15" s="4" t="s">
        <v>34</v>
      </c>
      <c r="F15" s="4"/>
      <c r="G15" s="4" t="s">
        <v>35</v>
      </c>
      <c r="H15" s="4" t="s">
        <v>36</v>
      </c>
      <c r="I15" s="45" t="s">
        <v>37</v>
      </c>
      <c r="J15" s="4"/>
      <c r="K15" s="4" t="s">
        <v>38</v>
      </c>
      <c r="L15" s="4"/>
      <c r="O15" s="3"/>
    </row>
    <row r="16" spans="3:15" s="7" customFormat="1" ht="17.25" customHeight="1">
      <c r="C16" s="5" t="s">
        <v>39</v>
      </c>
      <c r="D16" s="5"/>
      <c r="E16" s="5" t="s">
        <v>40</v>
      </c>
      <c r="F16" s="5"/>
      <c r="G16" s="6" t="s">
        <v>41</v>
      </c>
      <c r="H16" s="5" t="s">
        <v>40</v>
      </c>
      <c r="I16" s="5" t="s">
        <v>40</v>
      </c>
      <c r="J16" s="24" t="s">
        <v>42</v>
      </c>
      <c r="K16" s="5" t="s">
        <v>43</v>
      </c>
      <c r="L16" s="5"/>
      <c r="O16" s="6"/>
    </row>
    <row r="17" spans="2:15" ht="33" customHeight="1">
      <c r="B17" s="25" t="s">
        <v>44</v>
      </c>
      <c r="C17" s="4" t="s">
        <v>45</v>
      </c>
      <c r="D17" s="4" t="s">
        <v>33</v>
      </c>
      <c r="E17" s="4" t="s">
        <v>46</v>
      </c>
      <c r="F17" s="4" t="s">
        <v>47</v>
      </c>
      <c r="G17" s="45" t="s">
        <v>48</v>
      </c>
      <c r="H17" s="4" t="s">
        <v>49</v>
      </c>
      <c r="I17" s="4" t="s">
        <v>50</v>
      </c>
      <c r="J17" s="4" t="s">
        <v>51</v>
      </c>
      <c r="K17" s="4" t="s">
        <v>52</v>
      </c>
      <c r="L17" s="4" t="s">
        <v>53</v>
      </c>
      <c r="O17" s="3"/>
    </row>
    <row r="18" spans="1:15" s="11" customFormat="1" ht="17.25" customHeight="1">
      <c r="A18" s="11" t="s">
        <v>54</v>
      </c>
      <c r="B18" s="11">
        <f>DATA!B5</f>
        <v>0.7</v>
      </c>
      <c r="C18" s="46">
        <f>DATA!B4</f>
        <v>800</v>
      </c>
      <c r="D18" s="13">
        <f>B18/C18</f>
        <v>0.0008749999999999999</v>
      </c>
      <c r="E18" s="13">
        <f>(((2592*EXP(D18*1775.6)))/1.12/56)</f>
        <v>195.42070212847915</v>
      </c>
      <c r="F18" s="13">
        <f>IF(E18&gt;DATA!B3,DATA!B3,E18)</f>
        <v>195.42070212847915</v>
      </c>
      <c r="G18" s="49">
        <f>F18*56*0.0125</f>
        <v>136.7944914899354</v>
      </c>
      <c r="H18" s="49"/>
      <c r="I18" s="49"/>
      <c r="J18" s="49">
        <f>H19*56*0.0125</f>
        <v>152.82985160286782</v>
      </c>
      <c r="K18" s="13">
        <f>($G$18-G18)/DATA!B7</f>
        <v>0</v>
      </c>
      <c r="L18" s="13"/>
      <c r="O18" s="12"/>
    </row>
    <row r="19" spans="1:48" s="14" customFormat="1" ht="17.25" customHeight="1">
      <c r="A19" t="s">
        <v>55</v>
      </c>
      <c r="B19">
        <f>DATA!B6</f>
        <v>0.55</v>
      </c>
      <c r="C19" s="47">
        <f>DATA!B4</f>
        <v>800</v>
      </c>
      <c r="D19" s="2">
        <f>B19/C19</f>
        <v>0.0006875000000000001</v>
      </c>
      <c r="E19" s="2">
        <f>(((2592*EXP(D19*1775.6)))/1.12/56)</f>
        <v>140.08224038073016</v>
      </c>
      <c r="F19" s="2">
        <f>IF(E19&gt;E4,E4,E19)</f>
        <v>140.08224038073016</v>
      </c>
      <c r="G19" s="2">
        <f>F19*56*0.0125</f>
        <v>98.05756826651111</v>
      </c>
      <c r="H19" s="2">
        <f>F19*$K$4</f>
        <v>218.32835943266832</v>
      </c>
      <c r="I19" s="2">
        <f>IF(H19&gt;$E$4,$E$4,H19)</f>
        <v>218.32835943266832</v>
      </c>
      <c r="J19" s="2">
        <f>G19</f>
        <v>98.05756826651111</v>
      </c>
      <c r="K19" s="2">
        <f>(J18-G19)/DATA!B7</f>
        <v>91.28713889392785</v>
      </c>
      <c r="L19" s="2">
        <f>K19/0.45</f>
        <v>202.86030865317298</v>
      </c>
      <c r="N19" s="2"/>
      <c r="O19" s="2"/>
      <c r="P19" s="15"/>
      <c r="Q19" s="15"/>
      <c r="R19" s="15"/>
      <c r="T19" s="15"/>
      <c r="U19" s="15"/>
      <c r="V19" s="15"/>
      <c r="X19" s="15"/>
      <c r="Y19" s="15"/>
      <c r="Z19" s="15"/>
      <c r="AB19" s="15"/>
      <c r="AC19" s="15"/>
      <c r="AD19" s="15"/>
      <c r="AF19" s="15"/>
      <c r="AG19" s="15"/>
      <c r="AH19" s="15"/>
      <c r="AJ19" s="15"/>
      <c r="AK19" s="15"/>
      <c r="AL19" s="15"/>
      <c r="AN19" s="15"/>
      <c r="AO19" s="15"/>
      <c r="AP19" s="15"/>
      <c r="AR19" s="15"/>
      <c r="AS19" s="15"/>
      <c r="AT19" s="15"/>
      <c r="AV19" s="15"/>
    </row>
    <row r="20" spans="3:15" ht="12.75">
      <c r="C20" s="2"/>
      <c r="D20" s="2"/>
      <c r="E20" s="2"/>
      <c r="F20" s="2"/>
      <c r="G20" s="4"/>
      <c r="H20" s="47"/>
      <c r="I20" s="2"/>
      <c r="J20" s="2"/>
      <c r="K20" s="2"/>
      <c r="L20" s="2"/>
      <c r="M20" s="2"/>
      <c r="N20" s="2"/>
      <c r="O20" s="2"/>
    </row>
    <row r="21" spans="2:15" ht="38.25">
      <c r="B21" s="2"/>
      <c r="C21" s="2"/>
      <c r="D21" s="4" t="s">
        <v>56</v>
      </c>
      <c r="E21" s="22" t="s">
        <v>79</v>
      </c>
      <c r="F21" s="2"/>
      <c r="H21" s="2"/>
      <c r="I21" s="2"/>
      <c r="J21" s="2"/>
      <c r="K21" s="2"/>
      <c r="L21" s="2"/>
      <c r="M21" s="2"/>
      <c r="N21" s="2"/>
      <c r="O21" s="2"/>
    </row>
    <row r="22" spans="3:15" ht="12.75">
      <c r="C22" s="2"/>
      <c r="D22" s="4" t="s">
        <v>57</v>
      </c>
      <c r="E22" s="2"/>
      <c r="F22" s="2"/>
      <c r="H22" s="2"/>
      <c r="I22" s="2"/>
      <c r="J22" s="2"/>
      <c r="K22" s="2"/>
      <c r="L22" s="2"/>
      <c r="M22" s="2"/>
      <c r="N22" s="2"/>
      <c r="O22" s="3"/>
    </row>
    <row r="23" spans="1:5" ht="12.75">
      <c r="A23" s="10"/>
      <c r="B23" s="10"/>
      <c r="D23" s="80" t="s">
        <v>81</v>
      </c>
      <c r="E23" s="10" t="s">
        <v>82</v>
      </c>
    </row>
    <row r="24" spans="1:2" ht="12.75">
      <c r="A24" s="1"/>
      <c r="B24" s="1"/>
    </row>
    <row r="25" spans="1:14" s="9" customFormat="1" ht="12.75">
      <c r="A25" s="1"/>
      <c r="B25" s="1"/>
      <c r="C25" s="42" t="s">
        <v>11</v>
      </c>
      <c r="D25" s="8"/>
      <c r="E25" s="8"/>
      <c r="F25" s="8"/>
      <c r="G25" s="21"/>
      <c r="H25" s="8"/>
      <c r="I25" s="8"/>
      <c r="J25" s="8"/>
      <c r="K25" s="8"/>
      <c r="L25" s="8"/>
      <c r="M25" s="8"/>
      <c r="N25" s="8"/>
    </row>
    <row r="26" spans="1:7" s="10" customFormat="1" ht="12.75">
      <c r="A26" s="1"/>
      <c r="B26" s="1"/>
      <c r="C26" s="43" t="s">
        <v>12</v>
      </c>
      <c r="G26" s="22"/>
    </row>
    <row r="27" spans="1:3" ht="12.75">
      <c r="A27" s="1"/>
      <c r="B27" s="1"/>
      <c r="C27" s="41" t="s">
        <v>13</v>
      </c>
    </row>
    <row r="28" spans="1:3" ht="12.75">
      <c r="A28" s="10"/>
      <c r="B28" s="10"/>
      <c r="C28" s="41" t="s">
        <v>14</v>
      </c>
    </row>
    <row r="29" spans="1:3" ht="12.75">
      <c r="A29" s="1"/>
      <c r="B29" s="1"/>
      <c r="C29" s="43" t="s">
        <v>80</v>
      </c>
    </row>
    <row r="30" spans="1:3" ht="12.75">
      <c r="A30" s="1"/>
      <c r="B30" s="1"/>
      <c r="C30" s="41" t="s">
        <v>58</v>
      </c>
    </row>
    <row r="31" spans="1:14" s="16" customFormat="1" ht="12.75">
      <c r="A31" s="1"/>
      <c r="B31" s="1"/>
      <c r="C31" s="43" t="s">
        <v>15</v>
      </c>
      <c r="D31" s="10"/>
      <c r="E31" s="10"/>
      <c r="F31" s="10"/>
      <c r="G31" s="22"/>
      <c r="H31" s="10"/>
      <c r="I31" s="10"/>
      <c r="J31" s="10"/>
      <c r="K31" s="10"/>
      <c r="L31" s="10"/>
      <c r="M31" s="10"/>
      <c r="N31" s="10"/>
    </row>
    <row r="32" spans="1:3" ht="12.75">
      <c r="A32" s="1"/>
      <c r="B32" s="1"/>
      <c r="C32" s="41" t="s">
        <v>59</v>
      </c>
    </row>
    <row r="33" ht="12.75">
      <c r="C33" s="41" t="s">
        <v>60</v>
      </c>
    </row>
    <row r="34" ht="12.75">
      <c r="C34" s="41" t="s">
        <v>73</v>
      </c>
    </row>
    <row r="35" ht="12.75">
      <c r="C35" s="44" t="s">
        <v>61</v>
      </c>
    </row>
    <row r="37" ht="12.75">
      <c r="C37" s="1" t="s">
        <v>62</v>
      </c>
    </row>
    <row r="38" ht="12.75">
      <c r="C38" s="1" t="s">
        <v>63</v>
      </c>
    </row>
    <row r="39" ht="12.75">
      <c r="C39" s="1" t="s">
        <v>64</v>
      </c>
    </row>
    <row r="41" ht="12.75">
      <c r="C41" s="1" t="s">
        <v>65</v>
      </c>
    </row>
  </sheetData>
  <sheetProtection/>
  <printOptions gridLines="1"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Raun</cp:lastModifiedBy>
  <dcterms:created xsi:type="dcterms:W3CDTF">2005-03-02T19:13:00Z</dcterms:created>
  <dcterms:modified xsi:type="dcterms:W3CDTF">2008-01-05T15:05:29Z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-2018560553</vt:i4>
  </property>
  <property fmtid="{D5CDD505-2E9C-101B-9397-08002B2CF9AE}" pid="3" name="_EmailSubject">
    <vt:lpwstr/>
  </property>
  <property fmtid="{D5CDD505-2E9C-101B-9397-08002B2CF9AE}" pid="4" name="_AuthorEmail">
    <vt:lpwstr>kyle.freeman@okstate.edu</vt:lpwstr>
  </property>
  <property fmtid="{D5CDD505-2E9C-101B-9397-08002B2CF9AE}" pid="5" name="_AuthorEmailDisplayName">
    <vt:lpwstr>Kyle Freeman</vt:lpwstr>
  </property>
  <property fmtid="{D5CDD505-2E9C-101B-9397-08002B2CF9AE}" pid="6" name="_ReviewingToolsShownOnce">
    <vt:lpwstr/>
  </property>
</Properties>
</file>